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ccounting\Financial Reports\FY21\6 21\"/>
    </mc:Choice>
  </mc:AlternateContent>
  <bookViews>
    <workbookView xWindow="480" yWindow="120" windowWidth="20520" windowHeight="11640"/>
  </bookViews>
  <sheets>
    <sheet name="Sheet1" sheetId="1" r:id="rId1"/>
  </sheets>
  <definedNames>
    <definedName name="_xlnm.Print_Area" localSheetId="0">Sheet1!$A$1:$P$48</definedName>
  </definedNames>
  <calcPr calcId="162913"/>
</workbook>
</file>

<file path=xl/calcChain.xml><?xml version="1.0" encoding="utf-8"?>
<calcChain xmlns="http://schemas.openxmlformats.org/spreadsheetml/2006/main">
  <c r="M9" i="1" l="1"/>
  <c r="K11" i="1" l="1"/>
  <c r="K10" i="1"/>
  <c r="L9" i="1"/>
  <c r="K9" i="1"/>
  <c r="J10" i="1" l="1"/>
  <c r="J9" i="1"/>
  <c r="H9" i="1" l="1"/>
  <c r="I9" i="1"/>
  <c r="G10" i="1"/>
  <c r="I10" i="1"/>
  <c r="H10" i="1" l="1"/>
  <c r="G9" i="1" l="1"/>
  <c r="F9" i="1" l="1"/>
  <c r="F10" i="1"/>
  <c r="E10" i="1" l="1"/>
  <c r="E9" i="1"/>
  <c r="C9" i="1" l="1"/>
  <c r="B9" i="1"/>
  <c r="N4" i="1" l="1"/>
  <c r="N5" i="1"/>
  <c r="N3" i="1"/>
  <c r="E13" i="1" l="1"/>
  <c r="F13" i="1"/>
  <c r="G13" i="1"/>
  <c r="H13" i="1"/>
  <c r="I13" i="1"/>
  <c r="J13" i="1"/>
  <c r="K13" i="1"/>
  <c r="L13" i="1"/>
  <c r="M13" i="1"/>
  <c r="D13" i="1"/>
  <c r="C13" i="1"/>
  <c r="B13" i="1"/>
  <c r="C18" i="1" l="1"/>
  <c r="C17" i="1"/>
  <c r="N12" i="1" l="1"/>
  <c r="P12" i="1" s="1"/>
  <c r="O13" i="1"/>
  <c r="N24" i="1" l="1"/>
  <c r="N21" i="1" l="1"/>
  <c r="N22" i="1"/>
  <c r="N23" i="1"/>
  <c r="P24" i="1"/>
  <c r="B26" i="1" l="1"/>
  <c r="B27" i="1"/>
  <c r="P3" i="1"/>
  <c r="O6" i="1"/>
  <c r="C16" i="1" s="1"/>
  <c r="N9" i="1"/>
  <c r="P9" i="1" s="1"/>
  <c r="N11" i="1"/>
  <c r="B17" i="1" l="1"/>
  <c r="P11" i="1"/>
  <c r="P5" i="1"/>
  <c r="P4" i="1"/>
  <c r="M6" i="1"/>
  <c r="C6" i="1"/>
  <c r="D6" i="1"/>
  <c r="E6" i="1"/>
  <c r="F6" i="1"/>
  <c r="G6" i="1"/>
  <c r="H6" i="1"/>
  <c r="I6" i="1"/>
  <c r="J6" i="1"/>
  <c r="K6" i="1"/>
  <c r="L6" i="1"/>
  <c r="B6" i="1"/>
  <c r="N10" i="1"/>
  <c r="B18" i="1" s="1"/>
  <c r="P10" i="1" l="1"/>
  <c r="N13" i="1"/>
  <c r="P13" i="1" s="1"/>
  <c r="N6" i="1"/>
  <c r="B16" i="1" l="1"/>
  <c r="P6" i="1"/>
</calcChain>
</file>

<file path=xl/sharedStrings.xml><?xml version="1.0" encoding="utf-8"?>
<sst xmlns="http://schemas.openxmlformats.org/spreadsheetml/2006/main" count="46" uniqueCount="43">
  <si>
    <t xml:space="preserve">Revenue </t>
  </si>
  <si>
    <t xml:space="preserve">On-Line Revenue </t>
  </si>
  <si>
    <t>Revenue Direct Mail</t>
  </si>
  <si>
    <t xml:space="preserve">Newsletter </t>
  </si>
  <si>
    <t xml:space="preserve">Expenses </t>
  </si>
  <si>
    <t xml:space="preserve">July 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</si>
  <si>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</si>
  <si>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</si>
  <si>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</si>
  <si>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</si>
  <si>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</si>
  <si>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</si>
  <si>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</si>
  <si>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</si>
  <si>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</si>
  <si>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</si>
  <si>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</si>
  <si>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Professional Services  Direct Mail</t>
  </si>
  <si>
    <t>Total Revenue</t>
  </si>
  <si>
    <t xml:space="preserve">Total Expenses </t>
  </si>
  <si>
    <t>% Complete</t>
  </si>
  <si>
    <t>YTD Total</t>
  </si>
  <si>
    <t>Overall Margin</t>
  </si>
  <si>
    <t>Newsletter Margin</t>
  </si>
  <si>
    <t>Direct Mail Margin</t>
  </si>
  <si>
    <t>This # ties out to the income statement</t>
  </si>
  <si>
    <t>This # comes from postage GL #.  Must dig out Russ Reid</t>
  </si>
  <si>
    <t>This # ties out to professional servies by department schedule</t>
  </si>
  <si>
    <t>YTD total ties out to Russ Reid YTD invoice total</t>
  </si>
  <si>
    <t>Remit</t>
  </si>
  <si>
    <t># of Remit Gifts Received</t>
  </si>
  <si>
    <t xml:space="preserve">Remit Revenue </t>
  </si>
  <si>
    <t>Sum of gifts $500 and  below who  rcv'd TY Letters w/ Remit</t>
  </si>
  <si>
    <t>Remit Percentage (# received as % of # mailed)</t>
  </si>
  <si>
    <t>Remit Revenue as % of Original gift</t>
  </si>
  <si>
    <t># of TY Ltr's sent w/ Remit envelope</t>
  </si>
  <si>
    <t>Cost to Raise $1</t>
  </si>
  <si>
    <t>Postage - Newsletter</t>
  </si>
  <si>
    <t xml:space="preserve">Budget </t>
  </si>
  <si>
    <t>Professional Services  - Newsetter</t>
  </si>
  <si>
    <t xml:space="preserve">Postage - Direct Mail </t>
  </si>
  <si>
    <t>Direct Mail Analysis YTD Actuals</t>
  </si>
  <si>
    <t>Budget FY2021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</si>
</sst>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9" fontId="0" fillId="0" borderId="0" xfId="2" applyFont="1"/>
    <xf numFmtId="10" fontId="0" fillId="0" borderId="0" xfId="2" applyNumberFormat="1" applyFont="1"/>
    <xf numFmtId="0" fontId="2" fillId="0" borderId="0" xfId="0" applyFont="1"/>
    <xf numFmtId="10" fontId="2" fillId="0" borderId="0" xfId="2" applyNumberFormat="1" applyFont="1"/>
    <xf numFmtId="0" fontId="0" fillId="0" borderId="0" xfId="0" applyAlignment="1">
      <alignment wrapText="1"/>
    </xf>
    <xf numFmtId="0" fontId="0" fillId="0" borderId="0" xfId="0" applyAlignment="1"/>
    <xf numFmtId="44" fontId="0" fillId="0" borderId="0" xfId="2" applyNumberFormat="1" applyFont="1"/>
    <xf numFmtId="44" fontId="0" fillId="0" borderId="0" xfId="0" applyNumberFormat="1"/>
    <xf numFmtId="2" fontId="0" fillId="0" borderId="0" xfId="0" applyNumberFormat="1"/>
    <xf numFmtId="1" fontId="0" fillId="0" borderId="0" xfId="2" applyNumberFormat="1" applyFont="1"/>
    <xf numFmtId="1" fontId="0" fillId="0" borderId="0" xfId="0" applyNumberFormat="1"/>
    <xf numFmtId="43" fontId="0" fillId="0" borderId="0" xfId="0" applyNumberFormat="1"/>
    <xf numFmtId="0" fontId="0" fillId="0" borderId="0" xfId="0"/>
    <xf numFmtId="43" fontId="0" fillId="0" borderId="0" xfId="1" applyFont="1"/>
    <xf numFmtId="9" fontId="0" fillId="0" borderId="0" xfId="0" applyNumberFormat="1"/>
    <xf numFmtId="10" fontId="0" fillId="0" borderId="0" xfId="1" applyNumberFormat="1" applyFont="1"/>
    <xf numFmtId="44" fontId="0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zoomScaleNormal="100" workbookViewId="0">
      <pane xSplit="1" topLeftCell="B1" activePane="topRight" state="frozen"/>
      <selection pane="topRight" activeCell="M10" sqref="M10"/>
    </sheetView>
  </sheetViews>
  <sheetFormatPr defaultRowHeight="15" x14ac:dyDescent="0.25"/>
  <cols>
    <col min="1" max="1" width="54" customWidth="1"/>
    <col min="2" max="2" width="14.85546875" bestFit="1" customWidth="1"/>
    <col min="3" max="6" width="12.5703125" bestFit="1" customWidth="1"/>
    <col min="7" max="7" width="14.28515625" bestFit="1" customWidth="1"/>
    <col min="8" max="13" width="12.5703125" customWidth="1"/>
    <col min="14" max="14" width="14.140625" customWidth="1"/>
    <col min="15" max="15" width="14.28515625" bestFit="1" customWidth="1"/>
    <col min="16" max="16" width="12.42578125" customWidth="1"/>
    <col min="17" max="17" width="9.140625" hidden="1" customWidth="1"/>
    <col min="18" max="24" width="9.140625" customWidth="1"/>
  </cols>
  <sheetData>
    <row r="1" spans="1:17" x14ac:dyDescent="0.25">
      <c r="A1" s="3" t="s">
        <v>41</v>
      </c>
    </row>
    <row r="2" spans="1:17" x14ac:dyDescent="0.25">
      <c r="A2" t="s">
        <v>0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21</v>
      </c>
      <c r="O2" t="s">
        <v>42</v>
      </c>
      <c r="P2" t="s">
        <v>20</v>
      </c>
    </row>
    <row r="3" spans="1:17" x14ac:dyDescent="0.25">
      <c r="A3" t="s">
        <v>1</v>
      </c>
      <c r="B3" s="17">
        <v>63657.24</v>
      </c>
      <c r="C3" s="17">
        <v>64935</v>
      </c>
      <c r="D3" s="17">
        <v>60941</v>
      </c>
      <c r="E3" s="17">
        <v>70589</v>
      </c>
      <c r="F3" s="17">
        <v>255388</v>
      </c>
      <c r="G3" s="17">
        <v>711211</v>
      </c>
      <c r="H3" s="17">
        <v>177573</v>
      </c>
      <c r="I3" s="17">
        <v>44710</v>
      </c>
      <c r="J3" s="17">
        <v>88410</v>
      </c>
      <c r="K3" s="17">
        <v>101824</v>
      </c>
      <c r="L3" s="17">
        <v>77964.800000000003</v>
      </c>
      <c r="M3" s="17">
        <v>47480.92</v>
      </c>
      <c r="N3" s="17">
        <f>SUM(B3:M3)</f>
        <v>1764683.96</v>
      </c>
      <c r="O3" s="17">
        <v>292000</v>
      </c>
      <c r="P3" s="1">
        <f>N3/O3</f>
        <v>6.043438219178082</v>
      </c>
      <c r="Q3" t="s">
        <v>25</v>
      </c>
    </row>
    <row r="4" spans="1:17" x14ac:dyDescent="0.25">
      <c r="A4" t="s">
        <v>2</v>
      </c>
      <c r="B4" s="17">
        <v>77535</v>
      </c>
      <c r="C4" s="17">
        <v>125877</v>
      </c>
      <c r="D4" s="17">
        <v>97613</v>
      </c>
      <c r="E4" s="17">
        <v>163713</v>
      </c>
      <c r="F4" s="17">
        <v>226850</v>
      </c>
      <c r="G4" s="17">
        <v>399673</v>
      </c>
      <c r="H4" s="17">
        <v>151790</v>
      </c>
      <c r="I4" s="17">
        <v>107666</v>
      </c>
      <c r="J4" s="17">
        <v>112821</v>
      </c>
      <c r="K4" s="17">
        <v>174481</v>
      </c>
      <c r="L4" s="17">
        <v>67418.03</v>
      </c>
      <c r="M4" s="17">
        <v>89809.67</v>
      </c>
      <c r="N4" s="17">
        <f t="shared" ref="N4:N5" si="0">SUM(B4:M4)</f>
        <v>1795246.7</v>
      </c>
      <c r="O4" s="17">
        <v>802967</v>
      </c>
      <c r="P4" s="1">
        <f>N4/O4</f>
        <v>2.2357664760818317</v>
      </c>
      <c r="Q4" t="s">
        <v>25</v>
      </c>
    </row>
    <row r="5" spans="1:17" x14ac:dyDescent="0.25">
      <c r="A5" t="s">
        <v>3</v>
      </c>
      <c r="B5" s="17">
        <v>10300</v>
      </c>
      <c r="C5" s="17">
        <v>6745</v>
      </c>
      <c r="D5" s="17">
        <v>75299</v>
      </c>
      <c r="E5" s="17">
        <v>21110</v>
      </c>
      <c r="F5" s="17">
        <v>94814</v>
      </c>
      <c r="G5" s="17">
        <v>79771</v>
      </c>
      <c r="H5" s="17">
        <v>10185</v>
      </c>
      <c r="I5" s="17">
        <v>2650</v>
      </c>
      <c r="J5" s="17">
        <v>109671</v>
      </c>
      <c r="K5" s="17">
        <v>31944</v>
      </c>
      <c r="L5" s="17">
        <v>73479.88</v>
      </c>
      <c r="M5" s="17">
        <v>17590</v>
      </c>
      <c r="N5" s="17">
        <f t="shared" si="0"/>
        <v>533558.88</v>
      </c>
      <c r="O5" s="17">
        <v>178000</v>
      </c>
      <c r="P5" s="1">
        <f>N5/O5</f>
        <v>2.997521797752809</v>
      </c>
      <c r="Q5" t="s">
        <v>25</v>
      </c>
    </row>
    <row r="6" spans="1:17" x14ac:dyDescent="0.25">
      <c r="A6" t="s">
        <v>18</v>
      </c>
      <c r="B6" s="17">
        <f>SUM(B3:B5)</f>
        <v>151492.24</v>
      </c>
      <c r="C6" s="17">
        <f t="shared" ref="C6:L6" si="1">SUM(C3:C5)</f>
        <v>197557</v>
      </c>
      <c r="D6" s="17">
        <f t="shared" si="1"/>
        <v>233853</v>
      </c>
      <c r="E6" s="17">
        <f t="shared" si="1"/>
        <v>255412</v>
      </c>
      <c r="F6" s="17">
        <f t="shared" si="1"/>
        <v>577052</v>
      </c>
      <c r="G6" s="17">
        <f t="shared" si="1"/>
        <v>1190655</v>
      </c>
      <c r="H6" s="17">
        <f t="shared" si="1"/>
        <v>339548</v>
      </c>
      <c r="I6" s="17">
        <f t="shared" si="1"/>
        <v>155026</v>
      </c>
      <c r="J6" s="17">
        <f t="shared" si="1"/>
        <v>310902</v>
      </c>
      <c r="K6" s="17">
        <f t="shared" si="1"/>
        <v>308249</v>
      </c>
      <c r="L6" s="17">
        <f t="shared" si="1"/>
        <v>218862.71000000002</v>
      </c>
      <c r="M6" s="17">
        <f>SUM(M3:M5)</f>
        <v>154880.59</v>
      </c>
      <c r="N6" s="17">
        <f>SUM(N3:N5)</f>
        <v>4093489.54</v>
      </c>
      <c r="O6" s="17">
        <f t="shared" ref="O6" si="2">SUM(O3:O5)</f>
        <v>1272967</v>
      </c>
      <c r="P6" s="1">
        <f>N6/O6</f>
        <v>3.2157075085214308</v>
      </c>
    </row>
    <row r="7" spans="1:17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"/>
    </row>
    <row r="8" spans="1:17" x14ac:dyDescent="0.25">
      <c r="A8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"/>
    </row>
    <row r="9" spans="1:17" x14ac:dyDescent="0.25">
      <c r="A9" t="s">
        <v>40</v>
      </c>
      <c r="B9" s="17">
        <f>61.65+68.02+2691.43</f>
        <v>2821.1</v>
      </c>
      <c r="C9" s="17">
        <f>18415.55+68.51</f>
        <v>18484.059999999998</v>
      </c>
      <c r="D9" s="17">
        <v>7376.61</v>
      </c>
      <c r="E9" s="17">
        <f>7176.71+7473.6+542.2+1988.41+43.38</f>
        <v>17224.300000000003</v>
      </c>
      <c r="F9" s="17">
        <f>40.42+77.04+38.76+56.14+84.08+56.14+108.06</f>
        <v>460.64</v>
      </c>
      <c r="G9" s="17">
        <f>14706.59+101.02+68.46+40.86</f>
        <v>14916.93</v>
      </c>
      <c r="H9" s="17">
        <f>60.22+206.62+96.52-3976.82</f>
        <v>-3613.46</v>
      </c>
      <c r="I9" s="17">
        <f>6225.81+124.34+96.96</f>
        <v>6447.1100000000006</v>
      </c>
      <c r="J9" s="17">
        <f>102.24+86.18</f>
        <v>188.42000000000002</v>
      </c>
      <c r="K9" s="17">
        <f>2159.74+536.4+98.6+145.58+141.5</f>
        <v>3081.8199999999997</v>
      </c>
      <c r="L9" s="17">
        <f>1929.18+758.19</f>
        <v>2687.37</v>
      </c>
      <c r="M9" s="17">
        <f>1968.55+129.94+1914.68</f>
        <v>4013.17</v>
      </c>
      <c r="N9" s="17">
        <f t="shared" ref="N9:N12" si="3">SUM(B9:M9)</f>
        <v>74088.069999999992</v>
      </c>
      <c r="O9" s="17">
        <v>73557</v>
      </c>
      <c r="P9" s="1">
        <f>N9/O9</f>
        <v>1.0072198431148631</v>
      </c>
      <c r="Q9" s="6" t="s">
        <v>26</v>
      </c>
    </row>
    <row r="10" spans="1:17" x14ac:dyDescent="0.25">
      <c r="A10" t="s">
        <v>17</v>
      </c>
      <c r="B10" s="17">
        <v>10854.55</v>
      </c>
      <c r="C10" s="17">
        <v>11363.05</v>
      </c>
      <c r="D10" s="17">
        <v>0</v>
      </c>
      <c r="E10" s="17">
        <f>5410.35+29605.65+17423.69+5375.7</f>
        <v>57815.39</v>
      </c>
      <c r="F10" s="17">
        <f>14706.59+16785.53+23100.49</f>
        <v>54592.61</v>
      </c>
      <c r="G10" s="17">
        <f>38226.73+11750.03+4217.4+5425.94-14706.59+3290.8</f>
        <v>48204.310000000012</v>
      </c>
      <c r="H10" s="17">
        <f>11080.18+6906.35</f>
        <v>17986.53</v>
      </c>
      <c r="I10" s="17">
        <f>10951.45+10036.68</f>
        <v>20988.13</v>
      </c>
      <c r="J10" s="17">
        <f>1258.3+10178.14</f>
        <v>11436.439999999999</v>
      </c>
      <c r="K10" s="17">
        <f>42344.42+9996.81</f>
        <v>52341.229999999996</v>
      </c>
      <c r="L10" s="17">
        <v>11830.2</v>
      </c>
      <c r="M10" s="17">
        <v>11576.78</v>
      </c>
      <c r="N10" s="17">
        <f t="shared" si="3"/>
        <v>308989.22000000003</v>
      </c>
      <c r="O10" s="17">
        <v>287689</v>
      </c>
      <c r="P10" s="1">
        <f>N10/O10</f>
        <v>1.0740390491120622</v>
      </c>
      <c r="Q10" t="s">
        <v>27</v>
      </c>
    </row>
    <row r="11" spans="1:17" ht="17.25" customHeight="1" x14ac:dyDescent="0.25">
      <c r="A11" s="5" t="s">
        <v>39</v>
      </c>
      <c r="B11" s="17">
        <v>0</v>
      </c>
      <c r="C11" s="17">
        <v>0</v>
      </c>
      <c r="D11" s="17">
        <v>5050.32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f>5155.11+5814.03</f>
        <v>10969.14</v>
      </c>
      <c r="L11" s="17">
        <v>0</v>
      </c>
      <c r="M11" s="17">
        <v>0</v>
      </c>
      <c r="N11" s="17">
        <f t="shared" si="3"/>
        <v>16019.46</v>
      </c>
      <c r="O11" s="17">
        <v>22000</v>
      </c>
      <c r="P11" s="1">
        <f>N11/O11</f>
        <v>0.72815727272727271</v>
      </c>
      <c r="Q11" t="s">
        <v>27</v>
      </c>
    </row>
    <row r="12" spans="1:17" s="13" customFormat="1" x14ac:dyDescent="0.25">
      <c r="A12" s="5" t="s">
        <v>37</v>
      </c>
      <c r="B12" s="17">
        <v>0</v>
      </c>
      <c r="C12" s="17">
        <v>1401.27</v>
      </c>
      <c r="D12" s="17">
        <v>0</v>
      </c>
      <c r="E12" s="17">
        <v>1437.03</v>
      </c>
      <c r="F12" s="17">
        <v>0</v>
      </c>
      <c r="G12" s="17">
        <v>0</v>
      </c>
      <c r="H12" s="17">
        <v>0</v>
      </c>
      <c r="I12" s="17">
        <v>1797.85</v>
      </c>
      <c r="J12" s="17">
        <v>0</v>
      </c>
      <c r="K12" s="17">
        <v>1854.04</v>
      </c>
      <c r="L12" s="17">
        <v>0</v>
      </c>
      <c r="M12" s="17">
        <v>0</v>
      </c>
      <c r="N12" s="17">
        <f t="shared" si="3"/>
        <v>6490.19</v>
      </c>
      <c r="O12" s="17">
        <v>6000</v>
      </c>
      <c r="P12" s="1">
        <f>N12/O12</f>
        <v>1.0816983333333332</v>
      </c>
    </row>
    <row r="13" spans="1:17" x14ac:dyDescent="0.25">
      <c r="A13" t="s">
        <v>19</v>
      </c>
      <c r="B13" s="17">
        <f>SUM(B9:B12)</f>
        <v>13675.65</v>
      </c>
      <c r="C13" s="17">
        <f>SUM(C9:C12)</f>
        <v>31248.379999999997</v>
      </c>
      <c r="D13" s="17">
        <f>SUM(D9:D12)</f>
        <v>12426.93</v>
      </c>
      <c r="E13" s="17">
        <f t="shared" ref="E13:M13" si="4">SUM(E9:E12)</f>
        <v>76476.72</v>
      </c>
      <c r="F13" s="17">
        <f t="shared" si="4"/>
        <v>55053.25</v>
      </c>
      <c r="G13" s="17">
        <f t="shared" si="4"/>
        <v>63121.240000000013</v>
      </c>
      <c r="H13" s="17">
        <f t="shared" si="4"/>
        <v>14373.07</v>
      </c>
      <c r="I13" s="17">
        <f t="shared" si="4"/>
        <v>29233.09</v>
      </c>
      <c r="J13" s="17">
        <f t="shared" si="4"/>
        <v>11624.859999999999</v>
      </c>
      <c r="K13" s="17">
        <f t="shared" si="4"/>
        <v>68246.23</v>
      </c>
      <c r="L13" s="17">
        <f t="shared" si="4"/>
        <v>14517.57</v>
      </c>
      <c r="M13" s="17">
        <f t="shared" si="4"/>
        <v>15589.95</v>
      </c>
      <c r="N13" s="17">
        <f t="shared" ref="N13" si="5">SUM(N9:N11)</f>
        <v>399096.75000000006</v>
      </c>
      <c r="O13" s="17">
        <f>SUM(O9:O12)</f>
        <v>389246</v>
      </c>
      <c r="P13" s="1">
        <f>N13/O13</f>
        <v>1.0253072607040279</v>
      </c>
      <c r="Q13" t="s">
        <v>28</v>
      </c>
    </row>
    <row r="14" spans="1:17" x14ac:dyDescent="0.25">
      <c r="N14" s="8"/>
      <c r="O14" s="8"/>
    </row>
    <row r="15" spans="1:17" x14ac:dyDescent="0.25">
      <c r="B15" t="s">
        <v>36</v>
      </c>
      <c r="C15" t="s">
        <v>38</v>
      </c>
      <c r="N15" s="8"/>
      <c r="O15" s="8"/>
    </row>
    <row r="16" spans="1:17" x14ac:dyDescent="0.25">
      <c r="A16" s="3" t="s">
        <v>22</v>
      </c>
      <c r="B16" s="4">
        <f>N13/N6</f>
        <v>9.7495485477654367E-2</v>
      </c>
      <c r="C16" s="4">
        <f>O13/O6</f>
        <v>0.30577854728362952</v>
      </c>
      <c r="D16" s="1"/>
      <c r="E16" s="1"/>
      <c r="F16" s="1"/>
      <c r="G16" s="1"/>
      <c r="H16" s="1"/>
      <c r="I16" s="1"/>
      <c r="O16" s="8"/>
    </row>
    <row r="17" spans="1:16" x14ac:dyDescent="0.25">
      <c r="A17" t="s">
        <v>23</v>
      </c>
      <c r="B17" s="2">
        <f>(N11+N12)/N5</f>
        <v>4.2187752549446837E-2</v>
      </c>
      <c r="C17" s="2">
        <f>(O11+O12)/O5</f>
        <v>0.15730337078651685</v>
      </c>
      <c r="D17" s="1"/>
      <c r="E17" s="1"/>
      <c r="F17" s="1"/>
      <c r="G17" s="1"/>
      <c r="H17" s="1"/>
      <c r="I17" s="1"/>
      <c r="O17" s="8"/>
    </row>
    <row r="18" spans="1:16" x14ac:dyDescent="0.25">
      <c r="A18" t="s">
        <v>24</v>
      </c>
      <c r="B18" s="2">
        <f>(N10+N9)/N4</f>
        <v>0.21338420507888975</v>
      </c>
      <c r="C18" s="2">
        <f>(O10+O9)/O4</f>
        <v>0.44988897426668845</v>
      </c>
      <c r="D18" s="1"/>
      <c r="E18" s="1"/>
      <c r="F18" s="1"/>
      <c r="G18" s="1"/>
      <c r="H18" s="1"/>
      <c r="I18" s="1"/>
      <c r="O18" s="8"/>
    </row>
    <row r="19" spans="1:16" x14ac:dyDescent="0.25">
      <c r="B19" s="2"/>
      <c r="N19" s="8"/>
      <c r="O19" s="8"/>
    </row>
    <row r="20" spans="1:16" hidden="1" x14ac:dyDescent="0.25">
      <c r="A20" s="3" t="s">
        <v>29</v>
      </c>
      <c r="B20" s="2"/>
      <c r="N20" s="8"/>
      <c r="O20" s="8"/>
    </row>
    <row r="21" spans="1:16" hidden="1" x14ac:dyDescent="0.25">
      <c r="A21" t="s">
        <v>35</v>
      </c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8">
        <f t="shared" ref="N21:N23" si="6">SUM(B21:M21)</f>
        <v>0</v>
      </c>
      <c r="O21" s="8"/>
    </row>
    <row r="22" spans="1:16" hidden="1" x14ac:dyDescent="0.25">
      <c r="A22" t="s">
        <v>32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>
        <f t="shared" si="6"/>
        <v>0</v>
      </c>
      <c r="O22" s="8"/>
    </row>
    <row r="23" spans="1:16" hidden="1" x14ac:dyDescent="0.25">
      <c r="A23" t="s">
        <v>30</v>
      </c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8">
        <f t="shared" si="6"/>
        <v>0</v>
      </c>
      <c r="O23" s="8"/>
    </row>
    <row r="24" spans="1:16" hidden="1" x14ac:dyDescent="0.25">
      <c r="A24" t="s">
        <v>31</v>
      </c>
      <c r="B24" s="17"/>
      <c r="C24" s="17"/>
      <c r="D24" s="17"/>
      <c r="E24" s="17"/>
      <c r="F24" s="17"/>
      <c r="G24" s="17"/>
      <c r="H24" s="8"/>
      <c r="I24" s="8"/>
      <c r="J24" s="8"/>
      <c r="K24" s="8"/>
      <c r="L24" s="8"/>
      <c r="M24" s="8"/>
      <c r="N24" s="8">
        <f>SUM(B24:M24)</f>
        <v>0</v>
      </c>
      <c r="O24" s="8">
        <v>73500</v>
      </c>
      <c r="P24" s="15">
        <f>N24/O24</f>
        <v>0</v>
      </c>
    </row>
    <row r="25" spans="1:16" s="13" customFormat="1" hidden="1" x14ac:dyDescent="0.25">
      <c r="B25" s="14"/>
      <c r="C25" s="14"/>
      <c r="D25" s="14"/>
      <c r="E25" s="14"/>
      <c r="F25" s="14"/>
      <c r="G25" s="14"/>
      <c r="N25" s="12"/>
      <c r="O25" s="9"/>
      <c r="P25" s="15"/>
    </row>
    <row r="26" spans="1:16" s="13" customFormat="1" hidden="1" x14ac:dyDescent="0.25">
      <c r="A26" s="13" t="s">
        <v>33</v>
      </c>
      <c r="B26" s="16" t="e">
        <f>N23/N21</f>
        <v>#DIV/0!</v>
      </c>
      <c r="C26" s="14"/>
      <c r="D26" s="14"/>
      <c r="E26" s="14"/>
      <c r="F26" s="14"/>
      <c r="G26" s="14"/>
      <c r="N26" s="12"/>
      <c r="O26" s="9"/>
      <c r="P26" s="15"/>
    </row>
    <row r="27" spans="1:16" hidden="1" x14ac:dyDescent="0.25">
      <c r="A27" t="s">
        <v>34</v>
      </c>
      <c r="B27" s="2" t="e">
        <f>N24/N22</f>
        <v>#DIV/0!</v>
      </c>
    </row>
    <row r="28" spans="1:16" x14ac:dyDescent="0.25">
      <c r="B28" s="2"/>
    </row>
    <row r="29" spans="1:16" x14ac:dyDescent="0.25">
      <c r="A29" s="3"/>
    </row>
    <row r="33" spans="1:14" x14ac:dyDescent="0.25">
      <c r="N33" s="8"/>
    </row>
    <row r="38" spans="1:14" x14ac:dyDescent="0.25">
      <c r="A38" s="3"/>
    </row>
  </sheetData>
  <pageMargins left="0.7" right="0.7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Feeding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Edwards</dc:creator>
  <cp:lastModifiedBy>Brian Edwards</cp:lastModifiedBy>
  <cp:lastPrinted>2021-07-15T18:11:45Z</cp:lastPrinted>
  <dcterms:created xsi:type="dcterms:W3CDTF">2017-01-17T18:03:18Z</dcterms:created>
  <dcterms:modified xsi:type="dcterms:W3CDTF">2021-07-15T18:14:36Z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